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60" windowHeight="7815" activeTab="0"/>
  </bookViews>
  <sheets>
    <sheet name="Kosten" sheetId="1" r:id="rId1"/>
    <sheet name="Kapitalkosten" sheetId="2" r:id="rId2"/>
    <sheet name="Belegung" sheetId="3" r:id="rId3"/>
    <sheet name="Gebühren" sheetId="4" r:id="rId4"/>
  </sheets>
  <definedNames>
    <definedName name="_xlnm.Print_Area" localSheetId="0">'Kosten'!$A$2:$G$37</definedName>
  </definedNames>
  <calcPr fullCalcOnLoad="1"/>
</workbook>
</file>

<file path=xl/sharedStrings.xml><?xml version="1.0" encoding="utf-8"?>
<sst xmlns="http://schemas.openxmlformats.org/spreadsheetml/2006/main" count="97" uniqueCount="82">
  <si>
    <t>Auslastung</t>
  </si>
  <si>
    <t>A)Nettokaltmiete (NKM)</t>
  </si>
  <si>
    <t>B)Bruttokaltmiete (NKM + Betriebskosten nach BetriebskostenVO) &gt; Mietobergrenze</t>
  </si>
  <si>
    <t>Sachversicherungen</t>
  </si>
  <si>
    <t>Grundsteuer</t>
  </si>
  <si>
    <t>Müllgebühren</t>
  </si>
  <si>
    <t>Reinigung Außenanlagen, Winterdienst</t>
  </si>
  <si>
    <t>Straßenreinigung</t>
  </si>
  <si>
    <t>Allg. Hausstrom (Treppenhausbeleuchtung etc.)</t>
  </si>
  <si>
    <t>Niederschlagwasser</t>
  </si>
  <si>
    <t>Hauswart</t>
  </si>
  <si>
    <t>Einrichtungen der Wäschepflege</t>
  </si>
  <si>
    <t>C)Weitere Kosten</t>
  </si>
  <si>
    <t>Hausrat/Möblierung</t>
  </si>
  <si>
    <t>Hausmeister/Hausverwaltung/Heimleitung oberhalb des üblichen Umfangs</t>
  </si>
  <si>
    <t>Wachdienst / Pförtner</t>
  </si>
  <si>
    <t>Rufbereitschaft</t>
  </si>
  <si>
    <t>Kosten für Leerstand: Es können Auslastungsquoten vertraglich vereinbart werden bzw. können vom Betreiber in die Nettokaltmiete eingerechnet werden.</t>
  </si>
  <si>
    <t>D)Nicht über die Kosten der Unterkunft abzurechnen:</t>
  </si>
  <si>
    <t>Soziale Beratung</t>
  </si>
  <si>
    <t>Betreuung</t>
  </si>
  <si>
    <t>Vernetzung und Öffentlichkeitsarbeit</t>
  </si>
  <si>
    <t>Friederikenstr. 43</t>
  </si>
  <si>
    <t>Friederikenstr. 43a</t>
  </si>
  <si>
    <t>Friederikenstr. 43b</t>
  </si>
  <si>
    <t>Grundstück Friederikenstr. 43</t>
  </si>
  <si>
    <t>01.01.</t>
  </si>
  <si>
    <t>31.12.</t>
  </si>
  <si>
    <t>Wiederbesch.zeitwert</t>
  </si>
  <si>
    <t>Restbuchwert</t>
  </si>
  <si>
    <t>Durchschnitt</t>
  </si>
  <si>
    <t>Verzinsung</t>
  </si>
  <si>
    <t>Gebäude Friederikenstr. 43</t>
  </si>
  <si>
    <t>Gebäude Friederikenstr. 43a</t>
  </si>
  <si>
    <t>Gebäude Friederikenstr. 43b</t>
  </si>
  <si>
    <t>43a</t>
  </si>
  <si>
    <t>43b</t>
  </si>
  <si>
    <t>Schmutzwasser 2015</t>
  </si>
  <si>
    <t>0 cbm</t>
  </si>
  <si>
    <t>1719 cbm</t>
  </si>
  <si>
    <t>1066 cbm</t>
  </si>
  <si>
    <t>26.466,8 kWh</t>
  </si>
  <si>
    <t>769,3 kWh</t>
  </si>
  <si>
    <t>6.571 kWh</t>
  </si>
  <si>
    <t>Heizkosten 2014</t>
  </si>
  <si>
    <t>136.467 kWh</t>
  </si>
  <si>
    <t>153.191 kWh</t>
  </si>
  <si>
    <t>2.921,7 kWh</t>
  </si>
  <si>
    <t>Stromkosten 2014</t>
  </si>
  <si>
    <t>Wasser 2014</t>
  </si>
  <si>
    <t>1.066 cbm</t>
  </si>
  <si>
    <t>172 cbm</t>
  </si>
  <si>
    <t>Betrieb der Heizungsanlage 2013</t>
  </si>
  <si>
    <t>Prognose</t>
  </si>
  <si>
    <t>Kosten Flüchtlingsunterkünfte</t>
  </si>
  <si>
    <t>Friederikenstr. 43 - 43b</t>
  </si>
  <si>
    <t>Belegung</t>
  </si>
  <si>
    <t>Wohncontaineranlage</t>
  </si>
  <si>
    <t>Grundstück Friederikenstr. 29</t>
  </si>
  <si>
    <t>Miete Container p. a.</t>
  </si>
  <si>
    <t>Kosten pro Jahr/Person</t>
  </si>
  <si>
    <t>Kosten pro Monat/Person</t>
  </si>
  <si>
    <t>Container Friederikenstr. 29</t>
  </si>
  <si>
    <t>Flüchtlingsunterkünfte Friederikenstr. 43</t>
  </si>
  <si>
    <t>Zuweisungen Land Friederikenstr. 43</t>
  </si>
  <si>
    <t>Schmutzwasser</t>
  </si>
  <si>
    <t>Wasser</t>
  </si>
  <si>
    <t>Summe</t>
  </si>
  <si>
    <t>Flüchtlingsunterkünfte Friederikenstr.</t>
  </si>
  <si>
    <t>1. Kostenermittlung</t>
  </si>
  <si>
    <t>2. Kalkulatorische Kosten</t>
  </si>
  <si>
    <t>3. Belegungsplanung</t>
  </si>
  <si>
    <t>Maximale Belegung</t>
  </si>
  <si>
    <t>4. Gebührenkalkulation</t>
  </si>
  <si>
    <t>Wohncontainer</t>
  </si>
  <si>
    <t>Abschreibung</t>
  </si>
  <si>
    <t>Auflösung der Zuweisungen</t>
  </si>
  <si>
    <t>Kalkulatorische Verzinsung</t>
  </si>
  <si>
    <t>Kalkulatorische Kosten</t>
  </si>
  <si>
    <t>Erschließung Container 5 J</t>
  </si>
  <si>
    <t>Außenanlagen Container 5 J</t>
  </si>
  <si>
    <t>Anlage 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</si>
</sst>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7]_-;\-* #,##0.00\ [$€-407]_-;_-* &quot;-&quot;??\ [$€-407]_-;_-@_-"/>
  </numFmts>
  <fonts count="48">
    <font>
      <sz val="12"/>
      <color theme="1"/>
      <name val="Arial"/>
      <family val="2"/>
    </font>
    <font>
      <sz val="10"/>
      <color indexed="8"/>
      <name val="Verdana"/>
      <family val="2"/>
    </font>
    <font>
      <sz val="12"/>
      <color indexed="8"/>
      <name val="Arial"/>
      <family val="2"/>
    </font>
    <font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62"/>
      <name val="Verdana"/>
      <family val="2"/>
    </font>
    <font>
      <b/>
      <sz val="10"/>
      <color indexed="8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0"/>
      <name val="Verdana"/>
      <family val="2"/>
    </font>
    <font>
      <sz val="10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sz val="10"/>
      <color indexed="10"/>
      <name val="Verdana"/>
      <family val="2"/>
    </font>
    <font>
      <b/>
      <sz val="10"/>
      <color indexed="9"/>
      <name val="Verdana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1"/>
      <color indexed="9"/>
      <name val="Arial"/>
      <family val="2"/>
    </font>
    <font>
      <sz val="9"/>
      <color indexed="8"/>
      <name val="Arial"/>
      <family val="2"/>
    </font>
    <font>
      <b/>
      <u val="single"/>
      <sz val="11"/>
      <color indexed="10"/>
      <name val="Arial"/>
      <family val="2"/>
    </font>
    <font>
      <b/>
      <u val="single"/>
      <sz val="12"/>
      <color indexed="8"/>
      <name val="Arial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3F3F76"/>
      <name val="Verdana"/>
      <family val="2"/>
    </font>
    <font>
      <b/>
      <sz val="10"/>
      <color theme="1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u val="single"/>
      <sz val="11"/>
      <color theme="0"/>
      <name val="Arial"/>
      <family val="2"/>
    </font>
    <font>
      <sz val="9"/>
      <color theme="1"/>
      <name val="Arial"/>
      <family val="2"/>
    </font>
    <font>
      <b/>
      <u val="single"/>
      <sz val="11"/>
      <color rgb="FFC0504D"/>
      <name val="Arial"/>
      <family val="2"/>
    </font>
    <font>
      <b/>
      <u val="single"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double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4" fontId="0" fillId="0" borderId="12" xfId="57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44" fontId="0" fillId="33" borderId="12" xfId="57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44" fontId="0" fillId="0" borderId="0" xfId="57" applyFont="1" applyAlignment="1">
      <alignment/>
    </xf>
    <xf numFmtId="44" fontId="0" fillId="34" borderId="0" xfId="57" applyFont="1" applyFill="1" applyAlignment="1">
      <alignment/>
    </xf>
    <xf numFmtId="164" fontId="0" fillId="34" borderId="0" xfId="0" applyNumberFormat="1" applyFill="1" applyAlignment="1">
      <alignment/>
    </xf>
    <xf numFmtId="44" fontId="0" fillId="0" borderId="10" xfId="57" applyFont="1" applyBorder="1" applyAlignment="1">
      <alignment horizontal="center" vertical="center"/>
    </xf>
    <xf numFmtId="164" fontId="0" fillId="0" borderId="15" xfId="0" applyNumberFormat="1" applyBorder="1" applyAlignment="1">
      <alignment/>
    </xf>
    <xf numFmtId="44" fontId="0" fillId="0" borderId="0" xfId="57" applyFont="1" applyFill="1" applyAlignment="1">
      <alignment/>
    </xf>
    <xf numFmtId="44" fontId="0" fillId="0" borderId="0" xfId="0" applyNumberFormat="1" applyAlignment="1">
      <alignment/>
    </xf>
    <xf numFmtId="44" fontId="0" fillId="0" borderId="15" xfId="0" applyNumberFormat="1" applyBorder="1" applyAlignment="1">
      <alignment/>
    </xf>
    <xf numFmtId="0" fontId="42" fillId="0" borderId="0" xfId="0" applyFont="1" applyAlignment="1">
      <alignment horizontal="center"/>
    </xf>
    <xf numFmtId="44" fontId="0" fillId="0" borderId="10" xfId="57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44" fontId="0" fillId="0" borderId="17" xfId="57" applyFont="1" applyBorder="1" applyAlignment="1">
      <alignment horizontal="center" vertical="center"/>
    </xf>
    <xf numFmtId="44" fontId="42" fillId="0" borderId="18" xfId="57" applyFont="1" applyBorder="1" applyAlignment="1">
      <alignment horizontal="center" vertical="center"/>
    </xf>
    <xf numFmtId="0" fontId="43" fillId="0" borderId="19" xfId="0" applyFont="1" applyBorder="1" applyAlignment="1">
      <alignment vertical="center" wrapText="1"/>
    </xf>
    <xf numFmtId="164" fontId="42" fillId="0" borderId="0" xfId="0" applyNumberFormat="1" applyFont="1" applyAlignment="1">
      <alignment/>
    </xf>
    <xf numFmtId="0" fontId="44" fillId="0" borderId="20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7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2" fillId="0" borderId="24" xfId="0" applyFont="1" applyBorder="1" applyAlignment="1">
      <alignment/>
    </xf>
    <xf numFmtId="44" fontId="0" fillId="0" borderId="25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4" fontId="0" fillId="0" borderId="25" xfId="57" applyFont="1" applyBorder="1" applyAlignment="1">
      <alignment/>
    </xf>
    <xf numFmtId="0" fontId="0" fillId="0" borderId="26" xfId="0" applyBorder="1" applyAlignment="1">
      <alignment/>
    </xf>
    <xf numFmtId="44" fontId="42" fillId="0" borderId="27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28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6"/>
  <sheetViews>
    <sheetView tabSelected="1" zoomScalePageLayoutView="0" workbookViewId="0" topLeftCell="A1">
      <selection activeCell="B1" sqref="B1:B16384"/>
    </sheetView>
  </sheetViews>
  <sheetFormatPr defaultColWidth="11.5546875" defaultRowHeight="15"/>
  <cols>
    <col min="1" max="1" width="17.6640625" style="0" bestFit="1" customWidth="1"/>
    <col min="2" max="2" width="12.88671875" style="0" customWidth="1"/>
    <col min="4" max="4" width="11.77734375" style="0" bestFit="1" customWidth="1"/>
    <col min="5" max="5" width="14.6640625" style="0" bestFit="1" customWidth="1"/>
    <col min="6" max="6" width="10.10546875" style="0" customWidth="1"/>
    <col min="7" max="7" width="14.6640625" style="0" bestFit="1" customWidth="1"/>
    <col min="8" max="8" width="16.4453125" style="0" bestFit="1" customWidth="1"/>
    <col min="9" max="9" width="16.6640625" style="0" customWidth="1"/>
  </cols>
  <sheetData>
    <row r="2" spans="1:7" ht="15.75">
      <c r="A2" s="33" t="s">
        <v>69</v>
      </c>
      <c r="G2" t="s">
        <v>81</v>
      </c>
    </row>
    <row r="3" spans="1:7" ht="15.75">
      <c r="A3" s="6"/>
      <c r="B3" s="6"/>
      <c r="C3" s="6"/>
      <c r="D3" s="6"/>
      <c r="E3" s="6"/>
      <c r="G3" s="6"/>
    </row>
    <row r="4" spans="2:7" ht="16.5" thickBot="1">
      <c r="B4" s="6" t="s">
        <v>68</v>
      </c>
      <c r="G4" s="21" t="s">
        <v>74</v>
      </c>
    </row>
    <row r="5" spans="1:7" ht="30">
      <c r="A5" s="30" t="s">
        <v>1</v>
      </c>
      <c r="B5" s="4">
        <v>43</v>
      </c>
      <c r="C5" s="4" t="s">
        <v>35</v>
      </c>
      <c r="D5" s="4" t="s">
        <v>36</v>
      </c>
      <c r="E5" s="5" t="s">
        <v>53</v>
      </c>
      <c r="G5" s="5" t="s">
        <v>53</v>
      </c>
    </row>
    <row r="6" spans="1:7" ht="15">
      <c r="A6" s="31" t="s">
        <v>78</v>
      </c>
      <c r="B6" s="1"/>
      <c r="C6" s="1"/>
      <c r="D6" s="1"/>
      <c r="E6" s="3">
        <f>ROUND(Kapitalkosten!F17,2)</f>
        <v>23963.12</v>
      </c>
      <c r="G6" s="3">
        <f>ROUND(Kapitalkosten!F26,2)</f>
        <v>29641.69</v>
      </c>
    </row>
    <row r="7" spans="1:7" ht="15">
      <c r="A7" s="31" t="s">
        <v>59</v>
      </c>
      <c r="B7" s="1"/>
      <c r="C7" s="1"/>
      <c r="D7" s="1"/>
      <c r="E7" s="3"/>
      <c r="G7" s="3">
        <f>ROUNDUP((1853000+35000)/5,-2)</f>
        <v>377600</v>
      </c>
    </row>
    <row r="8" spans="1:7" ht="75" hidden="1">
      <c r="A8" s="32" t="s">
        <v>2</v>
      </c>
      <c r="B8" s="7"/>
      <c r="C8" s="7"/>
      <c r="D8" s="7"/>
      <c r="E8" s="8"/>
      <c r="G8" s="8"/>
    </row>
    <row r="9" spans="1:7" ht="15">
      <c r="A9" s="31" t="s">
        <v>3</v>
      </c>
      <c r="B9" s="9">
        <v>11881.35</v>
      </c>
      <c r="C9" s="9"/>
      <c r="D9" s="9"/>
      <c r="E9" s="3">
        <f>ROUNDUP(B9,-2)</f>
        <v>11900</v>
      </c>
      <c r="G9" s="3">
        <f>ROUNDUP(E9/Belegung!B9*Belegung!B11,-2)</f>
        <v>10200</v>
      </c>
    </row>
    <row r="10" spans="1:7" ht="15" hidden="1">
      <c r="A10" s="31" t="s">
        <v>4</v>
      </c>
      <c r="B10" s="1"/>
      <c r="C10" s="1"/>
      <c r="D10" s="1"/>
      <c r="E10" s="3"/>
      <c r="G10" s="3"/>
    </row>
    <row r="11" spans="1:7" ht="15">
      <c r="A11" s="31" t="s">
        <v>5</v>
      </c>
      <c r="B11" s="9">
        <f>993.45+993.45+993.45+993.45</f>
        <v>3973.8</v>
      </c>
      <c r="C11" s="9"/>
      <c r="D11" s="9"/>
      <c r="E11" s="3">
        <v>4000</v>
      </c>
      <c r="G11" s="3">
        <v>3500</v>
      </c>
    </row>
    <row r="12" spans="1:7" ht="24">
      <c r="A12" s="31" t="s">
        <v>6</v>
      </c>
      <c r="B12" s="9">
        <f>372.48+127.34+602.82+768.29+253.22+110.1</f>
        <v>2234.25</v>
      </c>
      <c r="C12" s="9"/>
      <c r="D12" s="9"/>
      <c r="E12" s="3">
        <v>2300</v>
      </c>
      <c r="G12" s="3">
        <v>2300</v>
      </c>
    </row>
    <row r="13" spans="1:7" ht="15">
      <c r="A13" s="31" t="s">
        <v>7</v>
      </c>
      <c r="B13" s="9">
        <v>63.75</v>
      </c>
      <c r="C13" s="9"/>
      <c r="D13" s="9"/>
      <c r="E13" s="3">
        <v>100</v>
      </c>
      <c r="F13" s="18"/>
      <c r="G13" s="3">
        <v>100</v>
      </c>
    </row>
    <row r="14" spans="1:7" ht="36" hidden="1">
      <c r="A14" s="31" t="s">
        <v>8</v>
      </c>
      <c r="B14" s="1"/>
      <c r="C14" s="1"/>
      <c r="D14" s="1"/>
      <c r="E14" s="3"/>
      <c r="G14" s="3"/>
    </row>
    <row r="15" spans="1:7" ht="15">
      <c r="A15" s="31" t="s">
        <v>9</v>
      </c>
      <c r="B15" s="22">
        <v>171.11</v>
      </c>
      <c r="C15" s="22">
        <v>171.11</v>
      </c>
      <c r="D15" s="22">
        <v>171.11</v>
      </c>
      <c r="E15" s="3">
        <f>ROUNDUP(B15+C15+D15,-2)</f>
        <v>600</v>
      </c>
      <c r="G15" s="3">
        <v>200</v>
      </c>
    </row>
    <row r="16" spans="1:7" ht="15">
      <c r="A16" s="31" t="s">
        <v>10</v>
      </c>
      <c r="B16" s="1"/>
      <c r="C16" s="1"/>
      <c r="D16" s="1"/>
      <c r="E16" s="3">
        <v>44900</v>
      </c>
      <c r="G16" s="3">
        <v>44900</v>
      </c>
    </row>
    <row r="17" spans="1:7" ht="24">
      <c r="A17" s="31" t="s">
        <v>11</v>
      </c>
      <c r="B17" s="1"/>
      <c r="C17" s="1"/>
      <c r="D17" s="1"/>
      <c r="E17" s="3">
        <v>200</v>
      </c>
      <c r="G17" s="3">
        <v>200</v>
      </c>
    </row>
    <row r="18" spans="1:7" ht="24">
      <c r="A18" s="31" t="s">
        <v>52</v>
      </c>
      <c r="B18" s="1"/>
      <c r="C18" s="1">
        <v>44.11</v>
      </c>
      <c r="D18" s="1">
        <v>51.12</v>
      </c>
      <c r="E18" s="3">
        <v>200</v>
      </c>
      <c r="G18" s="3">
        <v>100</v>
      </c>
    </row>
    <row r="19" spans="1:7" ht="15" hidden="1">
      <c r="A19" s="32" t="s">
        <v>12</v>
      </c>
      <c r="B19" s="10"/>
      <c r="C19" s="10"/>
      <c r="D19" s="10"/>
      <c r="E19" s="8"/>
      <c r="G19" s="8"/>
    </row>
    <row r="20" spans="1:7" ht="15">
      <c r="A20" s="31" t="s">
        <v>44</v>
      </c>
      <c r="B20" s="16">
        <v>386.68</v>
      </c>
      <c r="C20" s="16">
        <v>7732.52</v>
      </c>
      <c r="D20" s="16">
        <v>6853.54</v>
      </c>
      <c r="E20" s="3">
        <f>ROUNDUP(AVERAGE(C20:D20)*3,-2)</f>
        <v>21900</v>
      </c>
      <c r="G20" s="3">
        <f>ROUNDUP(AVERAGE(E20:F20)/Belegung!B9*Belegung!B11,-2)</f>
        <v>18700</v>
      </c>
    </row>
    <row r="21" spans="1:7" ht="15" hidden="1">
      <c r="A21" s="31"/>
      <c r="B21" s="16" t="s">
        <v>43</v>
      </c>
      <c r="C21" s="1" t="s">
        <v>46</v>
      </c>
      <c r="D21" s="1" t="s">
        <v>45</v>
      </c>
      <c r="E21" s="3"/>
      <c r="G21" s="3"/>
    </row>
    <row r="22" spans="1:7" ht="15">
      <c r="A22" s="31" t="s">
        <v>66</v>
      </c>
      <c r="B22" s="16">
        <v>103.18</v>
      </c>
      <c r="C22" s="16">
        <v>316.67</v>
      </c>
      <c r="D22" s="16">
        <v>1426.3</v>
      </c>
      <c r="E22" s="3">
        <f>ROUNDUP(((103.18+((1300*1.16)*1.07))*3),-2)</f>
        <v>5200</v>
      </c>
      <c r="G22" s="3">
        <f>ROUNDUP(E22/Belegung!B9*Belegung!B11,-2)</f>
        <v>4500</v>
      </c>
    </row>
    <row r="23" spans="1:7" ht="15">
      <c r="A23" s="31" t="s">
        <v>65</v>
      </c>
      <c r="B23" s="16">
        <v>0</v>
      </c>
      <c r="C23" s="16">
        <v>3145.77</v>
      </c>
      <c r="D23" s="16">
        <v>1950.78</v>
      </c>
      <c r="E23" s="3">
        <f>ROUNDUP(C23*3,-2)</f>
        <v>9500</v>
      </c>
      <c r="G23" s="3">
        <f>ROUNDUP(E23/Belegung!B9*Belegung!B11,-2)</f>
        <v>8200</v>
      </c>
    </row>
    <row r="24" spans="1:7" ht="15" hidden="1">
      <c r="A24" s="31" t="s">
        <v>13</v>
      </c>
      <c r="B24" s="1"/>
      <c r="C24" s="1"/>
      <c r="D24" s="1"/>
      <c r="E24" s="3"/>
      <c r="G24" s="3"/>
    </row>
    <row r="25" spans="1:7" ht="15">
      <c r="A25" s="31" t="s">
        <v>48</v>
      </c>
      <c r="B25" s="16">
        <v>228.71</v>
      </c>
      <c r="C25" s="16">
        <v>749.72</v>
      </c>
      <c r="D25" s="16">
        <v>6307.95</v>
      </c>
      <c r="E25" s="3">
        <f>ROUNDUP(D25*3,-2)</f>
        <v>19000</v>
      </c>
      <c r="G25" s="3">
        <f>ROUNDUP(E25/Belegung!B9*Belegung!B11,-2)</f>
        <v>16300</v>
      </c>
    </row>
    <row r="26" spans="1:7" ht="15" hidden="1">
      <c r="A26" s="31"/>
      <c r="B26" s="1" t="s">
        <v>42</v>
      </c>
      <c r="C26" s="1" t="s">
        <v>47</v>
      </c>
      <c r="D26" s="1" t="s">
        <v>41</v>
      </c>
      <c r="E26" s="3"/>
      <c r="G26" s="3"/>
    </row>
    <row r="27" spans="1:7" ht="36" hidden="1">
      <c r="A27" s="31" t="s">
        <v>14</v>
      </c>
      <c r="B27" s="1"/>
      <c r="C27" s="1"/>
      <c r="D27" s="1"/>
      <c r="E27" s="3"/>
      <c r="G27" s="3"/>
    </row>
    <row r="28" spans="1:7" ht="15" hidden="1">
      <c r="A28" s="31" t="s">
        <v>15</v>
      </c>
      <c r="B28" s="1"/>
      <c r="C28" s="1"/>
      <c r="D28" s="1"/>
      <c r="E28" s="3"/>
      <c r="G28" s="3"/>
    </row>
    <row r="29" spans="1:7" ht="15" hidden="1">
      <c r="A29" s="31" t="s">
        <v>16</v>
      </c>
      <c r="B29" s="1"/>
      <c r="C29" s="1"/>
      <c r="D29" s="1"/>
      <c r="E29" s="3"/>
      <c r="G29" s="3"/>
    </row>
    <row r="30" spans="1:7" ht="15" hidden="1">
      <c r="A30" s="31"/>
      <c r="B30" s="1"/>
      <c r="C30" s="1"/>
      <c r="D30" s="1"/>
      <c r="E30" s="3"/>
      <c r="G30" s="3"/>
    </row>
    <row r="31" spans="1:7" ht="84" hidden="1">
      <c r="A31" s="31" t="s">
        <v>17</v>
      </c>
      <c r="B31" s="1"/>
      <c r="C31" s="1"/>
      <c r="D31" s="1"/>
      <c r="E31" s="3"/>
      <c r="G31" s="3"/>
    </row>
    <row r="32" spans="1:7" ht="60" hidden="1">
      <c r="A32" s="32" t="s">
        <v>18</v>
      </c>
      <c r="B32" s="7"/>
      <c r="C32" s="7"/>
      <c r="D32" s="7"/>
      <c r="E32" s="8"/>
      <c r="G32" s="8"/>
    </row>
    <row r="33" spans="1:7" ht="15" hidden="1">
      <c r="A33" s="31" t="s">
        <v>19</v>
      </c>
      <c r="B33" s="3"/>
      <c r="C33" s="1"/>
      <c r="D33" s="1"/>
      <c r="E33" s="3"/>
      <c r="G33" s="3"/>
    </row>
    <row r="34" spans="1:7" ht="15" hidden="1">
      <c r="A34" s="31" t="s">
        <v>20</v>
      </c>
      <c r="B34" s="1"/>
      <c r="C34" s="1"/>
      <c r="D34" s="1"/>
      <c r="E34" s="3"/>
      <c r="G34" s="3"/>
    </row>
    <row r="35" spans="1:7" ht="24" hidden="1">
      <c r="A35" s="31" t="s">
        <v>21</v>
      </c>
      <c r="B35" s="1"/>
      <c r="C35" s="1"/>
      <c r="D35" s="1"/>
      <c r="E35" s="3"/>
      <c r="G35" s="3"/>
    </row>
    <row r="36" spans="1:7" ht="15">
      <c r="A36" s="31"/>
      <c r="B36" s="25"/>
      <c r="C36" s="25"/>
      <c r="D36" s="25"/>
      <c r="E36" s="26"/>
      <c r="G36" s="26"/>
    </row>
    <row r="37" spans="1:7" ht="16.5" thickBot="1">
      <c r="A37" s="28" t="s">
        <v>67</v>
      </c>
      <c r="B37" s="2"/>
      <c r="C37" s="2"/>
      <c r="D37" s="2"/>
      <c r="E37" s="27">
        <f>SUM(E6:E35)</f>
        <v>143763.12</v>
      </c>
      <c r="G37" s="27">
        <f>SUM(G6:G35)</f>
        <v>516441.69</v>
      </c>
    </row>
    <row r="40" spans="1:7" ht="15" hidden="1">
      <c r="A40" t="s">
        <v>37</v>
      </c>
      <c r="B40" s="14">
        <v>0</v>
      </c>
      <c r="C40" s="14">
        <v>3145.77</v>
      </c>
      <c r="D40" s="15">
        <v>1950.78</v>
      </c>
      <c r="E40" s="13"/>
      <c r="G40" s="13"/>
    </row>
    <row r="41" spans="2:4" ht="15" hidden="1">
      <c r="B41" t="s">
        <v>38</v>
      </c>
      <c r="C41" t="s">
        <v>39</v>
      </c>
      <c r="D41" t="s">
        <v>40</v>
      </c>
    </row>
    <row r="42" ht="15" hidden="1"/>
    <row r="43" spans="1:4" ht="15" hidden="1">
      <c r="A43" t="s">
        <v>49</v>
      </c>
      <c r="B43" s="13">
        <v>103.18</v>
      </c>
      <c r="C43">
        <v>316.67</v>
      </c>
      <c r="D43" s="13">
        <v>1426.3</v>
      </c>
    </row>
    <row r="44" spans="2:4" ht="15" hidden="1">
      <c r="B44" t="s">
        <v>38</v>
      </c>
      <c r="C44" t="s">
        <v>51</v>
      </c>
      <c r="D44" t="s">
        <v>50</v>
      </c>
    </row>
    <row r="45" ht="15" hidden="1">
      <c r="C45" s="13"/>
    </row>
    <row r="46" spans="5:7" ht="15" hidden="1">
      <c r="E46" s="19">
        <f>SUM(E37:E45)</f>
        <v>143763.12</v>
      </c>
      <c r="G46" s="19">
        <f>SUM(G37:G45)</f>
        <v>516441.69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r:id="rId1"/>
  <ignoredErrors>
    <ignoredError sqref="E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A24" sqref="A24"/>
    </sheetView>
  </sheetViews>
  <sheetFormatPr defaultColWidth="11.5546875" defaultRowHeight="15"/>
  <cols>
    <col min="1" max="1" width="35.77734375" style="0" bestFit="1" customWidth="1"/>
    <col min="2" max="2" width="23.4453125" style="0" bestFit="1" customWidth="1"/>
    <col min="3" max="6" width="12.4453125" style="0" bestFit="1" customWidth="1"/>
  </cols>
  <sheetData>
    <row r="1" ht="15.75">
      <c r="A1" s="33" t="s">
        <v>70</v>
      </c>
    </row>
    <row r="2" ht="15.75">
      <c r="A2" s="33"/>
    </row>
    <row r="3" spans="2:5" ht="15.75" thickBot="1">
      <c r="B3" t="s">
        <v>75</v>
      </c>
      <c r="C3" s="45" t="s">
        <v>77</v>
      </c>
      <c r="D3" s="45"/>
      <c r="E3" s="45"/>
    </row>
    <row r="4" spans="3:6" ht="15">
      <c r="C4" t="s">
        <v>26</v>
      </c>
      <c r="D4" t="s">
        <v>27</v>
      </c>
      <c r="E4" t="s">
        <v>30</v>
      </c>
      <c r="F4" t="s">
        <v>31</v>
      </c>
    </row>
    <row r="5" spans="1:6" ht="15.75">
      <c r="A5" s="6" t="s">
        <v>63</v>
      </c>
      <c r="B5" t="s">
        <v>28</v>
      </c>
      <c r="C5" t="s">
        <v>29</v>
      </c>
      <c r="D5" t="s">
        <v>29</v>
      </c>
      <c r="F5" s="11">
        <v>0.04</v>
      </c>
    </row>
    <row r="6" spans="1:6" ht="15">
      <c r="A6" s="24" t="s">
        <v>25</v>
      </c>
      <c r="B6" s="12">
        <v>0</v>
      </c>
      <c r="C6" s="12">
        <v>293380.89</v>
      </c>
      <c r="D6" s="12">
        <v>293380.89</v>
      </c>
      <c r="E6" s="12">
        <f>ROUND(AVERAGE(C6:D6),2)</f>
        <v>293380.89</v>
      </c>
      <c r="F6" s="12"/>
    </row>
    <row r="7" spans="1:6" ht="15">
      <c r="A7" t="s">
        <v>32</v>
      </c>
      <c r="B7" s="12">
        <v>10210.75</v>
      </c>
      <c r="C7" s="12">
        <v>207243</v>
      </c>
      <c r="D7" s="12">
        <v>292979</v>
      </c>
      <c r="E7" s="12">
        <f>ROUND(AVERAGE(C7:D7),2)</f>
        <v>250111</v>
      </c>
      <c r="F7" s="12"/>
    </row>
    <row r="8" spans="1:6" ht="15">
      <c r="A8" t="s">
        <v>33</v>
      </c>
      <c r="B8" s="12">
        <v>8663.87</v>
      </c>
      <c r="C8" s="12">
        <v>189030</v>
      </c>
      <c r="D8" s="12">
        <v>182278</v>
      </c>
      <c r="E8" s="12">
        <f>ROUND(AVERAGE(C8:D8),2)</f>
        <v>185654</v>
      </c>
      <c r="F8" s="12"/>
    </row>
    <row r="9" spans="1:6" ht="15">
      <c r="A9" t="s">
        <v>34</v>
      </c>
      <c r="B9" s="12">
        <v>8901.94</v>
      </c>
      <c r="C9" s="12">
        <v>194217</v>
      </c>
      <c r="D9" s="12">
        <v>187280</v>
      </c>
      <c r="E9" s="12">
        <f>ROUND(AVERAGE(C9:D9),2)</f>
        <v>190748.5</v>
      </c>
      <c r="F9" s="12"/>
    </row>
    <row r="10" spans="2:6" ht="15">
      <c r="B10" s="12"/>
      <c r="C10" s="12"/>
      <c r="D10" s="12"/>
      <c r="E10" s="12"/>
      <c r="F10" s="12"/>
    </row>
    <row r="11" spans="1:6" ht="15.75">
      <c r="A11" s="6" t="s">
        <v>64</v>
      </c>
      <c r="B11" s="12" t="s">
        <v>76</v>
      </c>
      <c r="C11" s="12"/>
      <c r="D11" s="12"/>
      <c r="E11" s="12"/>
      <c r="F11" s="12"/>
    </row>
    <row r="12" spans="1:6" ht="15">
      <c r="A12" t="s">
        <v>32</v>
      </c>
      <c r="B12" s="12">
        <v>-5650</v>
      </c>
      <c r="C12" s="12">
        <v>158178</v>
      </c>
      <c r="D12" s="12">
        <v>152528</v>
      </c>
      <c r="E12" s="12">
        <f>-ROUND(AVERAGE(C12:D12),2)</f>
        <v>-155353</v>
      </c>
      <c r="F12" s="12"/>
    </row>
    <row r="13" spans="1:6" ht="15">
      <c r="A13" t="s">
        <v>33</v>
      </c>
      <c r="B13" s="12">
        <v>-6752</v>
      </c>
      <c r="C13" s="12">
        <v>189030</v>
      </c>
      <c r="D13" s="12">
        <v>182278</v>
      </c>
      <c r="E13" s="12">
        <f>-ROUND(AVERAGE(C13:D13),2)</f>
        <v>-185654</v>
      </c>
      <c r="F13" s="12"/>
    </row>
    <row r="14" spans="1:6" ht="15">
      <c r="A14" t="s">
        <v>34</v>
      </c>
      <c r="B14" s="12">
        <v>-6937</v>
      </c>
      <c r="C14" s="12">
        <v>194217</v>
      </c>
      <c r="D14" s="12">
        <v>187280</v>
      </c>
      <c r="E14" s="17">
        <f>-ROUND(AVERAGE(C14:D14),2)</f>
        <v>-190748.5</v>
      </c>
      <c r="F14" s="12"/>
    </row>
    <row r="15" spans="2:7" ht="15">
      <c r="B15" s="17"/>
      <c r="C15" s="12"/>
      <c r="D15" s="12"/>
      <c r="E15" s="12">
        <f>SUM(E6:E14)</f>
        <v>388138.89</v>
      </c>
      <c r="F15" s="12">
        <f>ROUND(E15*$F$5,2)</f>
        <v>15525.56</v>
      </c>
      <c r="G15" t="s">
        <v>31</v>
      </c>
    </row>
    <row r="16" spans="2:7" ht="15">
      <c r="B16" s="12">
        <f>SUM(B6:B15)</f>
        <v>8437.560000000005</v>
      </c>
      <c r="C16" s="12"/>
      <c r="D16" s="12"/>
      <c r="E16" s="12"/>
      <c r="F16" s="17">
        <f>SUM(B16:E16)</f>
        <v>8437.560000000005</v>
      </c>
      <c r="G16" t="s">
        <v>75</v>
      </c>
    </row>
    <row r="17" spans="2:6" ht="15.75">
      <c r="B17" s="12"/>
      <c r="C17" s="12"/>
      <c r="D17" s="12"/>
      <c r="E17" s="12"/>
      <c r="F17" s="29">
        <f>SUM(F6:F16)</f>
        <v>23963.120000000003</v>
      </c>
    </row>
    <row r="18" spans="2:6" ht="15">
      <c r="B18" s="12"/>
      <c r="C18" s="12"/>
      <c r="D18" s="12"/>
      <c r="E18" s="12"/>
      <c r="F18" s="44"/>
    </row>
    <row r="19" spans="2:5" ht="15">
      <c r="B19" s="12"/>
      <c r="C19" s="12"/>
      <c r="D19" s="12"/>
      <c r="E19" s="12"/>
    </row>
    <row r="20" spans="1:6" ht="15.75">
      <c r="A20" s="6" t="s">
        <v>57</v>
      </c>
      <c r="B20" s="12"/>
      <c r="C20" s="12"/>
      <c r="D20" s="12"/>
      <c r="E20" s="12"/>
      <c r="F20" s="12"/>
    </row>
    <row r="21" spans="1:5" ht="15">
      <c r="A21" t="s">
        <v>58</v>
      </c>
      <c r="C21" s="12">
        <v>99712.35</v>
      </c>
      <c r="D21" s="12">
        <v>99712.35</v>
      </c>
      <c r="E21" s="12">
        <f>ROUND(AVERAGE(C21:D21),2)</f>
        <v>99712.35</v>
      </c>
    </row>
    <row r="22" spans="1:5" ht="15">
      <c r="A22" t="s">
        <v>79</v>
      </c>
      <c r="B22" s="13">
        <f>ROUND(25000/5,2)</f>
        <v>5000</v>
      </c>
      <c r="C22" s="13">
        <v>25000</v>
      </c>
      <c r="D22" s="13">
        <f>C22-B22</f>
        <v>20000</v>
      </c>
      <c r="E22" s="12">
        <f>ROUND(AVERAGE(C22:D22),2)</f>
        <v>22500</v>
      </c>
    </row>
    <row r="23" spans="1:5" ht="15">
      <c r="A23" t="s">
        <v>80</v>
      </c>
      <c r="B23" s="13">
        <f>ROUND((50000+33700)/5,2)</f>
        <v>16740</v>
      </c>
      <c r="C23" s="13">
        <f>33700+50000</f>
        <v>83700</v>
      </c>
      <c r="D23" s="13">
        <f>C23-B23</f>
        <v>66960</v>
      </c>
      <c r="E23" s="17">
        <f>ROUND(AVERAGE(C23:D23),2)</f>
        <v>75330</v>
      </c>
    </row>
    <row r="24" spans="2:7" ht="15">
      <c r="B24" s="23"/>
      <c r="E24" s="12">
        <f>SUM(E21:E23)</f>
        <v>197542.35</v>
      </c>
      <c r="F24" s="12">
        <f>ROUND(E24*$F$5,2)</f>
        <v>7901.69</v>
      </c>
      <c r="G24" t="s">
        <v>31</v>
      </c>
    </row>
    <row r="25" spans="2:7" ht="15">
      <c r="B25" s="19">
        <f>SUM(B22:B24)</f>
        <v>21740</v>
      </c>
      <c r="F25" s="20">
        <f>B25</f>
        <v>21740</v>
      </c>
      <c r="G25" t="s">
        <v>75</v>
      </c>
    </row>
    <row r="26" ht="15.75">
      <c r="F26" s="29">
        <f>SUM(F24:F25)</f>
        <v>29641.69</v>
      </c>
    </row>
  </sheetData>
  <sheetProtection/>
  <mergeCells count="1">
    <mergeCell ref="C3:E3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1"/>
  <ignoredErrors>
    <ignoredError sqref="E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F11" sqref="F11"/>
    </sheetView>
  </sheetViews>
  <sheetFormatPr defaultColWidth="11.5546875" defaultRowHeight="15"/>
  <cols>
    <col min="1" max="1" width="22.88671875" style="0" bestFit="1" customWidth="1"/>
    <col min="2" max="2" width="16.4453125" style="0" customWidth="1"/>
  </cols>
  <sheetData>
    <row r="1" ht="15.75">
      <c r="A1" s="33" t="s">
        <v>71</v>
      </c>
    </row>
    <row r="3" spans="2:3" ht="15">
      <c r="B3" t="s">
        <v>72</v>
      </c>
      <c r="C3" t="s">
        <v>0</v>
      </c>
    </row>
    <row r="4" ht="15">
      <c r="C4" s="11">
        <v>0.9</v>
      </c>
    </row>
    <row r="5" ht="15">
      <c r="C5" s="11"/>
    </row>
    <row r="6" spans="1:3" ht="15">
      <c r="A6" t="s">
        <v>22</v>
      </c>
      <c r="B6">
        <v>25</v>
      </c>
      <c r="C6">
        <f>ROUNDDOWN(B6*$C$4,0)</f>
        <v>22</v>
      </c>
    </row>
    <row r="7" spans="1:3" ht="15">
      <c r="A7" t="s">
        <v>23</v>
      </c>
      <c r="B7">
        <v>25</v>
      </c>
      <c r="C7">
        <f>ROUNDDOWN(B7*$C$4,0)</f>
        <v>22</v>
      </c>
    </row>
    <row r="8" spans="1:3" ht="15">
      <c r="A8" t="s">
        <v>24</v>
      </c>
      <c r="B8" s="23">
        <v>25</v>
      </c>
      <c r="C8" s="23">
        <f>ROUNDDOWN(B8*$C$4,0)</f>
        <v>22</v>
      </c>
    </row>
    <row r="9" spans="2:3" ht="15">
      <c r="B9">
        <f>SUM(B6:B8)</f>
        <v>75</v>
      </c>
      <c r="C9">
        <f>SUM(C6:C8)</f>
        <v>66</v>
      </c>
    </row>
    <row r="11" spans="1:3" ht="15">
      <c r="A11" t="s">
        <v>62</v>
      </c>
      <c r="B11">
        <v>64</v>
      </c>
      <c r="C11">
        <f>ROUNDDOWN(B11*$C$4,0)</f>
        <v>57</v>
      </c>
    </row>
    <row r="13" spans="2:3" ht="15.75" thickBot="1">
      <c r="B13" s="34">
        <f>SUM(B9:B12)</f>
        <v>139</v>
      </c>
      <c r="C13" s="34">
        <f>SUM(C9:C12)</f>
        <v>123</v>
      </c>
    </row>
    <row r="14" ht="15.75" thickTop="1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9"/>
  <sheetViews>
    <sheetView zoomScalePageLayoutView="0" workbookViewId="0" topLeftCell="A1">
      <selection activeCell="E1" sqref="E1"/>
    </sheetView>
  </sheetViews>
  <sheetFormatPr defaultColWidth="11.5546875" defaultRowHeight="15"/>
  <cols>
    <col min="1" max="1" width="24.6640625" style="0" bestFit="1" customWidth="1"/>
    <col min="2" max="2" width="12.4453125" style="0" bestFit="1" customWidth="1"/>
  </cols>
  <sheetData>
    <row r="2" ht="15.75">
      <c r="A2" s="33" t="s">
        <v>73</v>
      </c>
    </row>
    <row r="4" spans="1:2" ht="15">
      <c r="A4" s="35" t="s">
        <v>54</v>
      </c>
      <c r="B4" s="36"/>
    </row>
    <row r="5" spans="1:2" ht="15.75">
      <c r="A5" s="37" t="s">
        <v>55</v>
      </c>
      <c r="B5" s="38">
        <f>Kosten!E46</f>
        <v>143763.12</v>
      </c>
    </row>
    <row r="6" spans="1:2" ht="15">
      <c r="A6" s="39"/>
      <c r="B6" s="40"/>
    </row>
    <row r="7" spans="1:2" ht="15">
      <c r="A7" s="39" t="s">
        <v>56</v>
      </c>
      <c r="B7" s="40">
        <f>Belegung!C9</f>
        <v>66</v>
      </c>
    </row>
    <row r="8" spans="1:2" ht="15">
      <c r="A8" s="39"/>
      <c r="B8" s="40"/>
    </row>
    <row r="9" spans="1:2" ht="15">
      <c r="A9" s="39" t="s">
        <v>60</v>
      </c>
      <c r="B9" s="41">
        <f>ROUND(B5/B7,2)</f>
        <v>2178.23</v>
      </c>
    </row>
    <row r="10" spans="1:2" ht="15.75">
      <c r="A10" s="42" t="s">
        <v>61</v>
      </c>
      <c r="B10" s="43">
        <f>ROUND(B9/12,2)</f>
        <v>181.52</v>
      </c>
    </row>
    <row r="13" spans="1:2" ht="15">
      <c r="A13" s="35" t="s">
        <v>54</v>
      </c>
      <c r="B13" s="36"/>
    </row>
    <row r="14" spans="1:2" ht="15.75">
      <c r="A14" s="37" t="s">
        <v>62</v>
      </c>
      <c r="B14" s="38">
        <f>Kosten!G46</f>
        <v>516441.69</v>
      </c>
    </row>
    <row r="15" spans="1:2" ht="15">
      <c r="A15" s="39"/>
      <c r="B15" s="40"/>
    </row>
    <row r="16" spans="1:2" ht="15">
      <c r="A16" s="39" t="s">
        <v>56</v>
      </c>
      <c r="B16" s="40">
        <f>Belegung!C11</f>
        <v>57</v>
      </c>
    </row>
    <row r="17" spans="1:2" ht="15">
      <c r="A17" s="39"/>
      <c r="B17" s="40"/>
    </row>
    <row r="18" spans="1:2" ht="15">
      <c r="A18" s="39" t="s">
        <v>60</v>
      </c>
      <c r="B18" s="41">
        <f>ROUND(B14/B16,2)</f>
        <v>9060.38</v>
      </c>
    </row>
    <row r="19" spans="1:2" ht="15.75">
      <c r="A19" s="42" t="s">
        <v>61</v>
      </c>
      <c r="B19" s="43">
        <f>ROUND(B18/12,2)</f>
        <v>755.03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Witzke</dc:creator>
  <cp:keywords/>
  <dc:description/>
  <cp:lastModifiedBy>Knoche, Monika</cp:lastModifiedBy>
  <cp:lastPrinted>2015-09-23T10:56:57Z</cp:lastPrinted>
  <dcterms:created xsi:type="dcterms:W3CDTF">2015-04-23T11:22:07Z</dcterms:created>
  <dcterms:modified xsi:type="dcterms:W3CDTF">2015-09-23T10:57:04Z</dcterms:modified>
  <cp:category/>
  <cp:version/>
  <cp:contentType/>
  <cp:contentStatus/>
</cp:coreProperties>
</file>